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9210" activeTab="0"/>
  </bookViews>
  <sheets>
    <sheet name="Лист1" sheetId="1" r:id="rId1"/>
    <sheet name="Лист2" sheetId="2" r:id="rId2"/>
    <sheet name="Лист3" sheetId="3" r:id="rId3"/>
    <sheet name=" " sheetId="4" state="hidden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<sst xmlns="http://schemas.openxmlformats.org/spreadsheetml/2006/main" count="25" uniqueCount="21">
  <si>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Средняя зарплата:</t>
  </si>
  <si>
    <t xml:space="preserve"> Очки Гильдии Рабочих:</t>
  </si>
  <si>
    <t>&lt;= вводится</t>
  </si>
  <si>
    <t xml:space="preserve"> Заработано:</t>
  </si>
  <si>
    <t xml:space="preserve"> Очки Гильдии Кузнецов:</t>
  </si>
  <si>
    <t xml:space="preserve"> Эффективность ремонта:</t>
  </si>
  <si>
    <t>% оплаты кузнецу за ремонт:</t>
  </si>
  <si>
    <t xml:space="preserve"> Затраты без окупаемости:</t>
  </si>
  <si>
    <t>наступит окупаемость при текущих % оплаты кузнецу</t>
  </si>
  <si>
    <t>&lt;=</t>
  </si>
  <si>
    <t>неверные данные</t>
  </si>
  <si>
    <t>Расчет ГР</t>
  </si>
  <si>
    <t>Расчет ГКуз</t>
  </si>
  <si>
    <t>вводится</t>
  </si>
  <si>
    <t>окупаемость при загрузке       24 часа (в сутках)</t>
  </si>
  <si>
    <t xml:space="preserve"> Затраты минус доход в данный момент:</t>
  </si>
  <si>
    <t>кол-во часов работы кузницы в сутки:</t>
  </si>
  <si>
    <t>Автор - Demin</t>
  </si>
  <si>
    <t>&lt;= будет затрачено средств до начала получения дохода</t>
  </si>
  <si>
    <t>Распределение затрат</t>
  </si>
  <si>
    <t>Сумма прокачки, включительно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</si>
</sst>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#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17.125" style="1" customWidth="1"/>
    <col min="4" max="4" width="13.00390625" style="1" customWidth="1"/>
    <col min="5" max="5" width="17.125" style="1" customWidth="1"/>
    <col min="6" max="6" width="6.25390625" style="1" customWidth="1"/>
    <col min="7" max="9" width="9.125" style="1" customWidth="1"/>
    <col min="16" max="16384" width="9.125" style="1" customWidth="1"/>
  </cols>
  <sheetData>
    <row r="1" spans="2:4" ht="12.75" customHeight="1">
      <c r="B1" s="14" t="s">
        <v>17</v>
      </c>
      <c r="C1" s="14"/>
      <c r="D1" s="14"/>
    </row>
    <row r="2" ht="12.75" customHeight="1"/>
    <row r="3" spans="2:4" ht="12.75" customHeight="1">
      <c r="B3" s="13" t="s">
        <v>11</v>
      </c>
      <c r="C3" s="13"/>
      <c r="D3" s="13"/>
    </row>
    <row r="4" ht="12.75" customHeight="1"/>
    <row r="5" spans="2:4" ht="12.75" customHeight="1">
      <c r="B5" s="2" t="s">
        <v>1</v>
      </c>
      <c r="C5" s="4">
        <v>11250</v>
      </c>
      <c r="D5" s="12" t="s">
        <v>2</v>
      </c>
    </row>
    <row r="6" spans="2:4" ht="12.75" customHeight="1">
      <c r="B6" s="2" t="s">
        <v>0</v>
      </c>
      <c r="C6" s="4">
        <v>195</v>
      </c>
      <c r="D6" s="12"/>
    </row>
    <row r="7" ht="12.75" customHeight="1"/>
    <row r="8" ht="12.75" customHeight="1"/>
    <row r="9" spans="2:3" ht="12.75" customHeight="1">
      <c r="B9" s="2" t="s">
        <v>3</v>
      </c>
      <c r="C9" s="3">
        <f>' '!F2</f>
        <v>8046285</v>
      </c>
    </row>
    <row r="10" ht="12.75" customHeight="1"/>
    <row r="11" ht="12.75" customHeight="1" thickBot="1"/>
    <row r="12" spans="2:4" ht="12.75" customHeight="1">
      <c r="B12" s="7"/>
      <c r="C12" s="7"/>
      <c r="D12" s="7"/>
    </row>
    <row r="13" spans="2:4" ht="12.75" customHeight="1">
      <c r="B13" s="10"/>
      <c r="C13" s="10"/>
      <c r="D13" s="10"/>
    </row>
    <row r="14" spans="2:4" ht="12.75" customHeight="1">
      <c r="B14" s="13" t="s">
        <v>12</v>
      </c>
      <c r="C14" s="13"/>
      <c r="D14" s="13"/>
    </row>
    <row r="15" ht="12.75" customHeight="1"/>
    <row r="16" spans="2:9" ht="12.75" customHeight="1">
      <c r="B16" s="2" t="s">
        <v>4</v>
      </c>
      <c r="C16" s="4">
        <v>4982.52</v>
      </c>
      <c r="D16" s="12" t="s">
        <v>2</v>
      </c>
      <c r="E16" s="8">
        <f>' '!F27</f>
        <v>13007.5</v>
      </c>
      <c r="F16" s="6" t="s">
        <v>9</v>
      </c>
      <c r="G16" s="11" t="s">
        <v>8</v>
      </c>
      <c r="H16" s="11"/>
      <c r="I16" s="11"/>
    </row>
    <row r="17" spans="2:9" ht="12.75" customHeight="1">
      <c r="B17" s="2"/>
      <c r="C17"/>
      <c r="D17" s="12"/>
      <c r="E17"/>
      <c r="F17" s="6"/>
      <c r="G17" s="11"/>
      <c r="H17" s="11"/>
      <c r="I17" s="11"/>
    </row>
    <row r="18" spans="2:9" ht="12.75" customHeight="1">
      <c r="B18" s="12" t="s">
        <v>5</v>
      </c>
      <c r="C18" s="11" t="s">
        <v>6</v>
      </c>
      <c r="D18" s="12"/>
      <c r="F18" s="9"/>
      <c r="G18" s="9"/>
      <c r="H18" s="9"/>
      <c r="I18" s="9"/>
    </row>
    <row r="19" spans="2:9" ht="12.75" customHeight="1">
      <c r="B19" s="12"/>
      <c r="C19" s="15"/>
      <c r="D19" s="12"/>
      <c r="F19" s="9"/>
      <c r="G19" s="9"/>
      <c r="H19" s="9"/>
      <c r="I19" s="9"/>
    </row>
    <row r="20" spans="2:9" ht="12.75" customHeight="1">
      <c r="B20" s="5">
        <v>0.1</v>
      </c>
      <c r="C20" s="4">
        <v>0</v>
      </c>
      <c r="D20" s="12"/>
      <c r="E20" s="8">
        <f>' '!F28</f>
        <v>541.9791666666666</v>
      </c>
      <c r="F20" s="6" t="s">
        <v>9</v>
      </c>
      <c r="G20" s="11" t="s">
        <v>14</v>
      </c>
      <c r="H20" s="11"/>
      <c r="I20" s="11"/>
    </row>
    <row r="21" spans="2:9" ht="12.75" customHeight="1">
      <c r="B21" s="5">
        <v>0.2</v>
      </c>
      <c r="C21" s="4">
        <v>10</v>
      </c>
      <c r="D21" s="12"/>
      <c r="G21" s="11"/>
      <c r="H21" s="11"/>
      <c r="I21" s="11"/>
    </row>
    <row r="22" spans="2:4" ht="12.75" customHeight="1">
      <c r="B22" s="5">
        <v>0.3</v>
      </c>
      <c r="C22" s="4">
        <v>20</v>
      </c>
      <c r="D22" s="12"/>
    </row>
    <row r="23" spans="2:9" ht="12.75" customHeight="1">
      <c r="B23" s="5">
        <v>0.4</v>
      </c>
      <c r="C23" s="4">
        <v>25</v>
      </c>
      <c r="D23" s="12"/>
      <c r="E23" s="12" t="s">
        <v>16</v>
      </c>
      <c r="F23" s="12"/>
      <c r="G23" s="12"/>
      <c r="H23" s="12"/>
      <c r="I23" s="12"/>
    </row>
    <row r="24" spans="2:9" ht="12.75" customHeight="1">
      <c r="B24" s="5">
        <v>0.5</v>
      </c>
      <c r="C24" s="4">
        <v>35</v>
      </c>
      <c r="D24" s="12"/>
      <c r="E24" s="4">
        <v>15</v>
      </c>
      <c r="F24" s="6" t="s">
        <v>9</v>
      </c>
      <c r="G24" s="12" t="s">
        <v>13</v>
      </c>
      <c r="H24" s="12"/>
      <c r="I24" s="2"/>
    </row>
    <row r="25" spans="2:4" ht="12.75" customHeight="1">
      <c r="B25" s="5">
        <v>0.6</v>
      </c>
      <c r="C25" s="4">
        <v>50</v>
      </c>
      <c r="D25" s="12"/>
    </row>
    <row r="26" spans="2:9" ht="12.75" customHeight="1">
      <c r="B26" s="5">
        <v>0.7</v>
      </c>
      <c r="C26" s="4">
        <v>70</v>
      </c>
      <c r="D26" s="12"/>
      <c r="E26" s="8">
        <f>' '!F29</f>
        <v>867.17</v>
      </c>
      <c r="F26" s="6" t="s">
        <v>9</v>
      </c>
      <c r="G26" s="11" t="str">
        <f>"фактическая окупаемость при загрузке "&amp;TEXT(E24,0)&amp;" часов (в сутках)"</f>
        <v>фактическая окупаемость при загрузке 15 часов (в сутках)</v>
      </c>
      <c r="H26" s="11"/>
      <c r="I26" s="11"/>
    </row>
    <row r="27" spans="2:9" ht="12.75" customHeight="1">
      <c r="B27" s="5">
        <v>0.8</v>
      </c>
      <c r="C27" s="4">
        <v>85</v>
      </c>
      <c r="D27" s="12"/>
      <c r="G27" s="11"/>
      <c r="H27" s="11"/>
      <c r="I27" s="11"/>
    </row>
    <row r="28" spans="2:4" ht="12.75" customHeight="1">
      <c r="B28" s="5">
        <v>0.9</v>
      </c>
      <c r="C28" s="4">
        <v>110</v>
      </c>
      <c r="D28" s="12"/>
    </row>
    <row r="29" ht="12.75" customHeight="1"/>
    <row r="30" ht="12.75" customHeight="1"/>
    <row r="31" spans="2:5" ht="12.75" customHeight="1">
      <c r="B31" s="2" t="s">
        <v>7</v>
      </c>
      <c r="C31" s="3">
        <f>' '!F25</f>
        <v>4049000</v>
      </c>
      <c r="D31" s="11" t="s">
        <v>18</v>
      </c>
      <c r="E31" s="11"/>
    </row>
    <row r="32" spans="2:5" ht="12.75" customHeight="1">
      <c r="B32" s="2"/>
      <c r="D32" s="11"/>
      <c r="E32" s="11"/>
    </row>
    <row r="33" ht="12.75" customHeight="1">
      <c r="B33" s="11" t="s">
        <v>15</v>
      </c>
    </row>
    <row r="34" spans="2:3" ht="12.75" customHeight="1">
      <c r="B34" s="11"/>
      <c r="C34" s="3">
        <f>' '!D25</f>
        <v>3209992</v>
      </c>
    </row>
    <row r="35" ht="12.75" customHeight="1"/>
    <row r="36" ht="12.75" customHeight="1"/>
    <row r="37" spans="2:5" ht="12.75" customHeight="1">
      <c r="B37" s="16" t="s">
        <v>19</v>
      </c>
      <c r="C37" s="17"/>
      <c r="D37" s="16" t="s">
        <v>20</v>
      </c>
      <c r="E37" s="17"/>
    </row>
    <row r="38" spans="2:5" ht="12.75" customHeight="1">
      <c r="B38" s="18"/>
      <c r="C38" s="19"/>
      <c r="D38" s="18"/>
      <c r="E38" s="19"/>
    </row>
    <row r="39" spans="2:5" ht="12.75" customHeight="1">
      <c r="B39" s="20">
        <v>0.1</v>
      </c>
      <c r="C39" s="21">
        <f>' '!I15</f>
        <v>120000</v>
      </c>
      <c r="D39" s="24">
        <f>SUM(C$39:C39)</f>
        <v>120000</v>
      </c>
      <c r="E39" s="25"/>
    </row>
    <row r="40" spans="2:5" ht="12.75" customHeight="1">
      <c r="B40" s="20">
        <v>0.2</v>
      </c>
      <c r="C40" s="21">
        <f>' '!I16</f>
        <v>180000</v>
      </c>
      <c r="D40" s="24">
        <f>SUM(C$39:C40)</f>
        <v>300000</v>
      </c>
      <c r="E40" s="25"/>
    </row>
    <row r="41" spans="2:5" ht="12.75" customHeight="1">
      <c r="B41" s="20">
        <v>0.3</v>
      </c>
      <c r="C41" s="21">
        <f>' '!I17</f>
        <v>272000</v>
      </c>
      <c r="D41" s="24">
        <f>SUM(C$39:C41)</f>
        <v>572000</v>
      </c>
      <c r="E41" s="25"/>
    </row>
    <row r="42" spans="2:5" ht="12.75" customHeight="1">
      <c r="B42" s="20">
        <v>0.4</v>
      </c>
      <c r="C42" s="21">
        <f>' '!I18</f>
        <v>435000</v>
      </c>
      <c r="D42" s="24">
        <f>SUM(C$39:C42)</f>
        <v>1007000</v>
      </c>
      <c r="E42" s="25"/>
    </row>
    <row r="43" spans="2:5" ht="12.75" customHeight="1">
      <c r="B43" s="20">
        <v>0.5</v>
      </c>
      <c r="C43" s="21">
        <f>' '!I19</f>
        <v>637000</v>
      </c>
      <c r="D43" s="24">
        <f>SUM(C$39:C43)</f>
        <v>1644000</v>
      </c>
      <c r="E43" s="25"/>
    </row>
    <row r="44" spans="2:5" ht="12.75" customHeight="1">
      <c r="B44" s="20">
        <v>0.6</v>
      </c>
      <c r="C44" s="21">
        <f>' '!I20</f>
        <v>830000</v>
      </c>
      <c r="D44" s="24">
        <f>SUM(C$39:C44)</f>
        <v>2474000</v>
      </c>
      <c r="E44" s="25"/>
    </row>
    <row r="45" spans="2:5" ht="12.75" customHeight="1">
      <c r="B45" s="20">
        <v>0.7</v>
      </c>
      <c r="C45" s="21">
        <f>' '!I21</f>
        <v>852000</v>
      </c>
      <c r="D45" s="24">
        <f>SUM(C$39:C45)</f>
        <v>3326000</v>
      </c>
      <c r="E45" s="25"/>
    </row>
    <row r="46" spans="2:5" ht="12.75">
      <c r="B46" s="22">
        <v>0.8</v>
      </c>
      <c r="C46" s="23">
        <f>' '!I22</f>
        <v>723000</v>
      </c>
      <c r="D46" s="26">
        <f>SUM(C$39:C46)</f>
        <v>4049000</v>
      </c>
      <c r="E46" s="27"/>
    </row>
  </sheetData>
  <mergeCells count="24">
    <mergeCell ref="D44:E44"/>
    <mergeCell ref="D45:E45"/>
    <mergeCell ref="D46:E46"/>
    <mergeCell ref="D40:E40"/>
    <mergeCell ref="D41:E41"/>
    <mergeCell ref="D42:E42"/>
    <mergeCell ref="D43:E43"/>
    <mergeCell ref="B37:C38"/>
    <mergeCell ref="D37:E38"/>
    <mergeCell ref="D39:E39"/>
    <mergeCell ref="B1:D1"/>
    <mergeCell ref="G20:I21"/>
    <mergeCell ref="G26:I27"/>
    <mergeCell ref="G24:H24"/>
    <mergeCell ref="B3:D3"/>
    <mergeCell ref="C18:C19"/>
    <mergeCell ref="B18:B19"/>
    <mergeCell ref="G16:I17"/>
    <mergeCell ref="B33:B34"/>
    <mergeCell ref="D31:E32"/>
    <mergeCell ref="D5:D6"/>
    <mergeCell ref="D16:D28"/>
    <mergeCell ref="E23:I23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5"/>
  <sheetViews>
    <sheetView workbookViewId="0" topLeftCell="A1">
      <selection activeCell="A1" sqref="A1"/>
    </sheetView>
  </sheetViews>
  <sheetFormatPr defaultColWidth="9.00390625" defaultRowHeight="12.75"/>
  <cols>
    <col min="1" max="1" width="9.125" style="29" customWidth="1"/>
    <col min="2" max="2" width="12.75390625" style="28" customWidth="1"/>
    <col min="3" max="3" width="6.75390625" style="28" customWidth="1"/>
    <col min="4" max="4" width="12.75390625" style="28" customWidth="1"/>
    <col min="5" max="5" width="9.125" style="29" customWidth="1"/>
    <col min="6" max="6" width="17.75390625" style="29" customWidth="1"/>
    <col min="7" max="8" width="9.125" style="29" customWidth="1"/>
    <col min="9" max="16384" width="9.125" style="29" customWidth="1"/>
  </cols>
  <sheetData>
    <row r="2" spans="2:6" ht="12.75">
      <c r="B2" s="28">
        <f>IF(Лист1!C5&gt;90,90*Лист1!C6,Лист1!C5*Лист1!C6)</f>
        <v>17550</v>
      </c>
      <c r="C2" s="28">
        <v>1</v>
      </c>
      <c r="D2" s="28">
        <f>B2*C2</f>
        <v>17550</v>
      </c>
      <c r="F2" s="28">
        <f>IF(Лист1!A2&lt;&gt;1,IF(Лист1!C6&gt;174,IF(Лист1!C6&lt;211,ROUND(SUM(D2:D11),0),"З/п = 175-210"),"З/п = 175-210"),ROUND(SUM(D2:D11),0))</f>
        <v>8046285</v>
      </c>
    </row>
    <row r="3" spans="2:4" ht="12.75">
      <c r="B3" s="28">
        <f>IF(Лист1!C5&gt;90,IF(Лист1!C5&gt;180,90*Лист1!C6,(Лист1!C5-90)*Лист1!C6),0)</f>
        <v>17550</v>
      </c>
      <c r="C3" s="28">
        <v>1.2</v>
      </c>
      <c r="D3" s="28">
        <f aca="true" t="shared" si="0" ref="D3:D11">B3*C3</f>
        <v>21060</v>
      </c>
    </row>
    <row r="4" spans="2:4" ht="12.75">
      <c r="B4" s="28">
        <f>IF(Лист1!C5&gt;180,IF(Лист1!C5&gt;360,180*Лист1!C6,(Лист1!C5-180)*Лист1!C6),0)</f>
        <v>35100</v>
      </c>
      <c r="C4" s="28">
        <v>1.5</v>
      </c>
      <c r="D4" s="28">
        <f t="shared" si="0"/>
        <v>52650</v>
      </c>
    </row>
    <row r="5" spans="2:4" ht="12.75">
      <c r="B5" s="28">
        <f>IF(Лист1!C5&gt;360,IF(Лист1!C5&gt;720,360*Лист1!C6,(Лист1!C5-360)*Лист1!C6),0)</f>
        <v>70200</v>
      </c>
      <c r="C5" s="28">
        <v>2</v>
      </c>
      <c r="D5" s="28">
        <f t="shared" si="0"/>
        <v>140400</v>
      </c>
    </row>
    <row r="6" spans="2:4" ht="12.75">
      <c r="B6" s="28">
        <f>IF(Лист1!C5&gt;720,IF(Лист1!C5&gt;1500,780*Лист1!C6,(Лист1!C5-720)*Лист1!C6),0)</f>
        <v>152100</v>
      </c>
      <c r="C6" s="28">
        <v>2.5</v>
      </c>
      <c r="D6" s="28">
        <f t="shared" si="0"/>
        <v>380250</v>
      </c>
    </row>
    <row r="7" spans="2:4" ht="12.75">
      <c r="B7" s="28">
        <f>IF(Лист1!C5&gt;1500,IF(Лист1!C5&gt;3000,1500*Лист1!C6,(Лист1!C5-1500)*Лист1!C6),0)</f>
        <v>292500</v>
      </c>
      <c r="C7" s="28">
        <v>3</v>
      </c>
      <c r="D7" s="28">
        <f t="shared" si="0"/>
        <v>877500</v>
      </c>
    </row>
    <row r="8" spans="2:4" ht="12.75">
      <c r="B8" s="28">
        <f>IF(Лист1!C5&gt;3000,IF(Лист1!C5&gt;5000,2000*Лист1!C6,(Лист1!C5-3000)*Лист1!C6),0)</f>
        <v>390000</v>
      </c>
      <c r="C8" s="28">
        <v>3.5</v>
      </c>
      <c r="D8" s="28">
        <f t="shared" si="0"/>
        <v>1365000</v>
      </c>
    </row>
    <row r="9" spans="2:4" ht="12.75">
      <c r="B9" s="28">
        <f>IF(Лист1!C5&gt;5000,IF(Лист1!C5&gt;8000,3000*Лист1!C6,(Лист1!C5-5000)*Лист1!C6),0)</f>
        <v>585000</v>
      </c>
      <c r="C9" s="28">
        <v>4</v>
      </c>
      <c r="D9" s="28">
        <f t="shared" si="0"/>
        <v>2340000</v>
      </c>
    </row>
    <row r="10" spans="2:4" ht="12.75">
      <c r="B10" s="28">
        <f>IF(Лист1!C5&gt;8000,IF(Лист1!C5&gt;12000,4000*Лист1!C6,(Лист1!C5-8000)*Лист1!C6),0)</f>
        <v>633750</v>
      </c>
      <c r="C10" s="28">
        <v>4.5</v>
      </c>
      <c r="D10" s="28">
        <f t="shared" si="0"/>
        <v>2851875</v>
      </c>
    </row>
    <row r="11" spans="2:4" ht="12.75">
      <c r="B11" s="28">
        <f>IF(Лист1!C5&gt;12000,(Лист1!C5-12000)*Лист1!C6,0)</f>
        <v>0</v>
      </c>
      <c r="C11" s="28">
        <v>5</v>
      </c>
      <c r="D11" s="28">
        <f t="shared" si="0"/>
        <v>0</v>
      </c>
    </row>
    <row r="13" ht="12.75">
      <c r="F13" s="28" t="s">
        <v>10</v>
      </c>
    </row>
    <row r="14" spans="2:8" ht="12.75">
      <c r="B14" s="28">
        <f>Лист1!C16</f>
        <v>4982.52</v>
      </c>
      <c r="F14" s="28"/>
      <c r="G14" s="28"/>
      <c r="H14" s="28"/>
    </row>
    <row r="15" spans="2:9" ht="12.75">
      <c r="B15" s="28">
        <f>IF($B$14&gt;30,30,$B$14)*4000</f>
        <v>120000</v>
      </c>
      <c r="C15" s="28">
        <f>Лист1!C20</f>
        <v>0</v>
      </c>
      <c r="D15" s="28">
        <f>B15*(100-C15)/100</f>
        <v>120000</v>
      </c>
      <c r="F15" s="28">
        <v>120000</v>
      </c>
      <c r="G15" s="28">
        <f>C15</f>
        <v>0</v>
      </c>
      <c r="H15" s="28">
        <f>F15*(100-G15)/100</f>
        <v>120000</v>
      </c>
      <c r="I15" s="28">
        <f aca="true" t="shared" si="1" ref="I15:I22">IF(H15&gt;0,H15,"")</f>
        <v>120000</v>
      </c>
    </row>
    <row r="16" spans="2:9" ht="12.75">
      <c r="B16" s="28">
        <f>IF($B$14&gt;30,IF($B$14&gt;80,50,$B$14-30),0)*4000</f>
        <v>200000</v>
      </c>
      <c r="C16" s="28">
        <f>Лист1!C21</f>
        <v>10</v>
      </c>
      <c r="D16" s="28">
        <f aca="true" t="shared" si="2" ref="D16:D23">B16*(100-C16)/100</f>
        <v>180000</v>
      </c>
      <c r="F16" s="28">
        <v>200000</v>
      </c>
      <c r="G16" s="28">
        <f aca="true" t="shared" si="3" ref="G16:G23">C16</f>
        <v>10</v>
      </c>
      <c r="H16" s="28">
        <f aca="true" t="shared" si="4" ref="H16:H23">F16*(100-G16)/100</f>
        <v>180000</v>
      </c>
      <c r="I16" s="28">
        <f t="shared" si="1"/>
        <v>180000</v>
      </c>
    </row>
    <row r="17" spans="2:9" ht="12.75">
      <c r="B17" s="28">
        <f>IF($B$14&gt;80,IF($B$14&gt;165,85,$B$14-80),0)*4000</f>
        <v>340000</v>
      </c>
      <c r="C17" s="28">
        <f>Лист1!C22</f>
        <v>20</v>
      </c>
      <c r="D17" s="28">
        <f t="shared" si="2"/>
        <v>272000</v>
      </c>
      <c r="F17" s="28">
        <v>340000</v>
      </c>
      <c r="G17" s="28">
        <f t="shared" si="3"/>
        <v>20</v>
      </c>
      <c r="H17" s="28">
        <f t="shared" si="4"/>
        <v>272000</v>
      </c>
      <c r="I17" s="28">
        <f t="shared" si="1"/>
        <v>272000</v>
      </c>
    </row>
    <row r="18" spans="2:9" ht="12.75">
      <c r="B18" s="28">
        <f>IF($B$14&gt;165,IF($B$14&gt;310,145,$B$14-165),0)*4000</f>
        <v>580000</v>
      </c>
      <c r="C18" s="28">
        <f>Лист1!C23</f>
        <v>25</v>
      </c>
      <c r="D18" s="28">
        <f t="shared" si="2"/>
        <v>435000</v>
      </c>
      <c r="F18" s="28">
        <v>580000</v>
      </c>
      <c r="G18" s="28">
        <f t="shared" si="3"/>
        <v>25</v>
      </c>
      <c r="H18" s="28">
        <f t="shared" si="4"/>
        <v>435000</v>
      </c>
      <c r="I18" s="28">
        <f t="shared" si="1"/>
        <v>435000</v>
      </c>
    </row>
    <row r="19" spans="2:9" ht="12.75">
      <c r="B19" s="28">
        <f>IF($B$14&gt;310,IF($B$14&gt;555,245,$B$14-310),0)*4000</f>
        <v>980000</v>
      </c>
      <c r="C19" s="28">
        <f>Лист1!C24</f>
        <v>35</v>
      </c>
      <c r="D19" s="28">
        <f t="shared" si="2"/>
        <v>637000</v>
      </c>
      <c r="F19" s="28">
        <v>980000</v>
      </c>
      <c r="G19" s="28">
        <f t="shared" si="3"/>
        <v>35</v>
      </c>
      <c r="H19" s="28">
        <f t="shared" si="4"/>
        <v>637000</v>
      </c>
      <c r="I19" s="28">
        <f t="shared" si="1"/>
        <v>637000</v>
      </c>
    </row>
    <row r="20" spans="2:9" ht="12.75">
      <c r="B20" s="28">
        <f>IF($B$14&gt;555,IF($B$14&gt;970,415,$B$14-555),0)*4000</f>
        <v>1660000</v>
      </c>
      <c r="C20" s="28">
        <f>Лист1!C25</f>
        <v>50</v>
      </c>
      <c r="D20" s="28">
        <f t="shared" si="2"/>
        <v>830000</v>
      </c>
      <c r="F20" s="28">
        <v>1660000</v>
      </c>
      <c r="G20" s="28">
        <f t="shared" si="3"/>
        <v>50</v>
      </c>
      <c r="H20" s="28">
        <f t="shared" si="4"/>
        <v>830000</v>
      </c>
      <c r="I20" s="28">
        <f t="shared" si="1"/>
        <v>830000</v>
      </c>
    </row>
    <row r="21" spans="2:9" ht="12.75">
      <c r="B21" s="28">
        <f>IF($B$14&gt;970,IF($B$14&gt;1680,710,$B$14-970),0)*4000</f>
        <v>2840000</v>
      </c>
      <c r="C21" s="28">
        <f>Лист1!C26</f>
        <v>70</v>
      </c>
      <c r="D21" s="28">
        <f t="shared" si="2"/>
        <v>852000</v>
      </c>
      <c r="F21" s="28">
        <v>2840000</v>
      </c>
      <c r="G21" s="28">
        <f t="shared" si="3"/>
        <v>70</v>
      </c>
      <c r="H21" s="28">
        <f t="shared" si="4"/>
        <v>852000</v>
      </c>
      <c r="I21" s="28">
        <f t="shared" si="1"/>
        <v>852000</v>
      </c>
    </row>
    <row r="22" spans="2:9" ht="12.75">
      <c r="B22" s="28">
        <f>IF($B$14&gt;1680,IF($B$14&gt;2885,1205,$B$14-1680),0)*4000</f>
        <v>4820000</v>
      </c>
      <c r="C22" s="28">
        <f>Лист1!C27</f>
        <v>85</v>
      </c>
      <c r="D22" s="28">
        <f t="shared" si="2"/>
        <v>723000</v>
      </c>
      <c r="F22" s="28">
        <v>4820000</v>
      </c>
      <c r="G22" s="28">
        <f t="shared" si="3"/>
        <v>85</v>
      </c>
      <c r="H22" s="28">
        <f t="shared" si="4"/>
        <v>723000</v>
      </c>
      <c r="I22" s="28">
        <f t="shared" si="1"/>
        <v>723000</v>
      </c>
    </row>
    <row r="23" spans="2:9" ht="12.75">
      <c r="B23" s="28">
        <f>IF(Лист1!C16&gt;2885,Лист1!C16-2885,0)*4000</f>
        <v>8390080.000000002</v>
      </c>
      <c r="C23" s="28">
        <f>Лист1!C28</f>
        <v>110</v>
      </c>
      <c r="D23" s="28">
        <f t="shared" si="2"/>
        <v>-839008.0000000001</v>
      </c>
      <c r="F23" s="28"/>
      <c r="G23" s="28"/>
      <c r="H23" s="28"/>
      <c r="I23" s="28"/>
    </row>
    <row r="24" ht="12.75">
      <c r="E24" s="28"/>
    </row>
    <row r="25" spans="4:6" ht="12.75">
      <c r="D25" s="28">
        <f>IF(OR(C15&lt;0,C16&lt;0,C17&lt;0,C18&lt;0,C19&lt;0,C20&lt;0,C21&lt;0,C22&lt;0,C23&lt;100)=TRUE,F13,ROUND(SUM(D15:D23),))</f>
        <v>3209992</v>
      </c>
      <c r="F25" s="28">
        <f>IF(OR(C15&lt;0,C16&lt;0,C17&lt;0,C18&lt;0,C19&lt;0,C20&lt;0,C21&lt;0,C22&lt;0,C23&lt;100)=TRUE,F13,ROUND(SUM(I15:I22),))</f>
        <v>4049000</v>
      </c>
    </row>
    <row r="27" ht="12.75">
      <c r="F27" s="30">
        <f>IF(AND(TYPE(F25)=1,C23&gt;100)=TRUE,ABS(F25/(4000*(100-C23)/100))+2885,F13)</f>
        <v>13007.5</v>
      </c>
    </row>
    <row r="28" ht="12.75">
      <c r="F28" s="30">
        <f>IF(TYPE(F27)=1,F27/24,F13)</f>
        <v>541.9791666666666</v>
      </c>
    </row>
    <row r="29" ht="12.75">
      <c r="F29" s="28">
        <f>IF(TYPE(F28)=1,IF(Лист1!E24&gt;0,IF(Лист1!E24&lt;24.000001,ROUND(F28/(Лист1!E24/24),2),F13),F13),F13)</f>
        <v>867.17</v>
      </c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</sheetData>
  <sheetProtection password="C9D7" sheet="1" objects="1" scenarios="1" selectLockedCells="1" selectUnlockedCells="1"/>
  <protectedRanges>
    <protectedRange password="CE6B" sqref="A1:D65536 E14 E24 E26 E1:E11 E30:F65536 F1:F29 G1:IV65536" name="Диапазон1"/>
  </protectedRange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2008-06-08T02:48:48Z</dcterms:created>
  <dcterms:modified xsi:type="dcterms:W3CDTF">2010-04-18T04:56:00Z</dcterms:modified>
  <cp:category/>
  <cp:version/>
  <cp:contentType/>
  <cp:contentStatus/>
</cp:coreProperties>
</file>